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6"/>
  </bookViews>
  <sheets>
    <sheet name="汇总表" sheetId="13" r:id="rId1"/>
    <sheet name="报告厅及食堂" sheetId="1" r:id="rId2"/>
    <sheet name="多功能馆" sheetId="2" r:id="rId3"/>
    <sheet name="教学综合楼" sheetId="3" r:id="rId4"/>
    <sheet name="体育馆" sheetId="7" r:id="rId5"/>
    <sheet name="校门" sheetId="8" r:id="rId6"/>
    <sheet name="宿舍楼" sheetId="9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<sst xmlns="http://schemas.openxmlformats.org/spreadsheetml/2006/main" count="377" uniqueCount="162">
  <si>
    <t>门  窗  报  价  单</t>
  </si>
  <si>
    <t>项目名称：兴山县第二实验小学新建项目</t>
  </si>
  <si>
    <t>序号</t>
  </si>
  <si>
    <t>单位工程名称</t>
  </si>
  <si>
    <t>金额（元）</t>
  </si>
  <si>
    <t>备注</t>
  </si>
  <si>
    <t>一</t>
  </si>
  <si>
    <t>报告厅及食堂铝合金门窗</t>
  </si>
  <si>
    <t>二</t>
  </si>
  <si>
    <t>多功能馆铝合金门窗</t>
  </si>
  <si>
    <t>三</t>
  </si>
  <si>
    <t>教学综合楼铝合金门窗</t>
  </si>
  <si>
    <t>四</t>
  </si>
  <si>
    <t>体育馆铝合金门窗</t>
  </si>
  <si>
    <t>五</t>
  </si>
  <si>
    <t>校门铝合金门窗</t>
  </si>
  <si>
    <t>六</t>
  </si>
  <si>
    <t>宿舍楼铝合金门窗</t>
  </si>
  <si>
    <t>总  计</t>
  </si>
  <si>
    <t>备注：
1、此报价包含13%增值税专用发票、运费及其他交货前的费用。
2、验收合格收到发票后，一个月内支付到实际到货签收数量总金额的95%，剩余5%作为质保金，质保期满一次性付清（不计利息），质保期1年。付款方式为银行转账或承兑。
3、请附开票信息，营业执照及法人身份证复印件。</t>
  </si>
  <si>
    <t>报价单位（盖章）：</t>
  </si>
  <si>
    <t>联 系 人：</t>
  </si>
  <si>
    <t>电    话：</t>
  </si>
  <si>
    <t>时    间：</t>
  </si>
  <si>
    <t>一、报告厅及食堂铝合金门窗</t>
  </si>
  <si>
    <t>类型</t>
  </si>
  <si>
    <t>设计编号</t>
  </si>
  <si>
    <t>洞口尺寸</t>
  </si>
  <si>
    <t>套数</t>
  </si>
  <si>
    <t>图集名称</t>
  </si>
  <si>
    <t>工程量（㎡）</t>
  </si>
  <si>
    <t>单价（元）</t>
  </si>
  <si>
    <t>合价（元）</t>
  </si>
  <si>
    <t>备      注</t>
  </si>
  <si>
    <t>(mm)</t>
  </si>
  <si>
    <t>普通门</t>
  </si>
  <si>
    <t>LM1</t>
  </si>
  <si>
    <t>1800×3300</t>
  </si>
  <si>
    <t>分格详本图</t>
  </si>
  <si>
    <t>100系列断热铝合金6Low-E+12A+6地弹门</t>
  </si>
  <si>
    <t>LMIo</t>
  </si>
  <si>
    <t>1800×2180</t>
  </si>
  <si>
    <t>门联窗</t>
  </si>
  <si>
    <t>MLC1</t>
  </si>
  <si>
    <t>4200×5500</t>
  </si>
  <si>
    <t>MLC2</t>
  </si>
  <si>
    <t>7600×5500</t>
  </si>
  <si>
    <t>FMLC3</t>
  </si>
  <si>
    <t>8950×2400</t>
  </si>
  <si>
    <t>60系列铝合金10厚钢化玻璃平开门(乙级防火C类玻璃门)</t>
  </si>
  <si>
    <t>普通窗</t>
  </si>
  <si>
    <t>C1</t>
  </si>
  <si>
    <t>5300×5300</t>
  </si>
  <si>
    <t>60系列断热铝合金6Low-E+12A+6上悬窗</t>
  </si>
  <si>
    <t>C2</t>
  </si>
  <si>
    <t>8800×5300</t>
  </si>
  <si>
    <t>C3</t>
  </si>
  <si>
    <t>6500×5300</t>
  </si>
  <si>
    <t>60系列断热铝合金6Low-E+12A+6固定窗</t>
  </si>
  <si>
    <t>C4</t>
  </si>
  <si>
    <t>7600×5300</t>
  </si>
  <si>
    <t>60系列断热铝合金6Low-E+12A+6平开窗</t>
  </si>
  <si>
    <t>7700×5300</t>
  </si>
  <si>
    <t>C5</t>
  </si>
  <si>
    <t>1200×2200</t>
  </si>
  <si>
    <t>C5。</t>
  </si>
  <si>
    <t>1200×1500</t>
  </si>
  <si>
    <t>C6</t>
  </si>
  <si>
    <t>1500×2200</t>
  </si>
  <si>
    <t>60系列铝合金10厚钢化玻璃平开窗</t>
  </si>
  <si>
    <t>C7</t>
  </si>
  <si>
    <t>2400×2200</t>
  </si>
  <si>
    <t>C8</t>
  </si>
  <si>
    <t>600×7000</t>
  </si>
  <si>
    <t>C8o</t>
  </si>
  <si>
    <t>C9</t>
  </si>
  <si>
    <t>1500×1200</t>
  </si>
  <si>
    <t>60系列普通铝合金高窗，6厚单层玻璃</t>
  </si>
  <si>
    <t>C10</t>
  </si>
  <si>
    <t>1000×7000</t>
  </si>
  <si>
    <t>60系列铝合金乙级防火窗，耐火极限不小于1.0h</t>
  </si>
  <si>
    <t>C11</t>
  </si>
  <si>
    <t>3700×1800</t>
  </si>
  <si>
    <t>60系列铝合金乙级防大窗，耐火极限不小于1.0h</t>
  </si>
  <si>
    <t>百叶窗</t>
  </si>
  <si>
    <t>BYC1</t>
  </si>
  <si>
    <t>1500×2400</t>
  </si>
  <si>
    <t>深蓝灰色铝合金防雨通风百叶</t>
  </si>
  <si>
    <t>BYC2</t>
  </si>
  <si>
    <t>3000×2400</t>
  </si>
  <si>
    <t>洞口</t>
  </si>
  <si>
    <t>MDI</t>
  </si>
  <si>
    <t>1800×7400</t>
  </si>
  <si>
    <t xml:space="preserve"> </t>
  </si>
  <si>
    <t>MD2</t>
  </si>
  <si>
    <t>900×2460</t>
  </si>
  <si>
    <t>小计</t>
  </si>
  <si>
    <t>注：所有高窗就近在距地1.3～1.5m处设置手动开启装置。</t>
  </si>
  <si>
    <t>二、多功能馆铝合金门窗</t>
  </si>
  <si>
    <t>LMI</t>
  </si>
  <si>
    <t>3200×3900</t>
  </si>
  <si>
    <t>LM2</t>
  </si>
  <si>
    <t>3200×2400</t>
  </si>
  <si>
    <t>成品选购</t>
  </si>
  <si>
    <t>900×2000</t>
  </si>
  <si>
    <t>深蓝灰色铝合金防雨百叶窗，通风系数0.50</t>
  </si>
  <si>
    <t>3200×3600</t>
  </si>
  <si>
    <t>60A系列断热铝合金6Low-E+12A+6平开窗</t>
  </si>
  <si>
    <t>650×6600</t>
  </si>
  <si>
    <t>650×5200</t>
  </si>
  <si>
    <t>C3a</t>
  </si>
  <si>
    <t>900×3900</t>
  </si>
  <si>
    <t>650×2600</t>
  </si>
  <si>
    <t>650×1300</t>
  </si>
  <si>
    <t>1500×1300</t>
  </si>
  <si>
    <t>60A系列断热铝合金6Low-E+12A+6固定窗</t>
  </si>
  <si>
    <t xml:space="preserve"> Clo</t>
  </si>
  <si>
    <t>MD1</t>
  </si>
  <si>
    <t>合  计</t>
  </si>
  <si>
    <t>三、教学综合楼铝合金门窗</t>
  </si>
  <si>
    <t>1诊窗</t>
  </si>
  <si>
    <t>3600×1800</t>
  </si>
  <si>
    <t>60A系列断热铝合金6Low-E+12A+6内开窗</t>
  </si>
  <si>
    <t>60A系列断热铝合金6Low-E+12A+6平开门</t>
  </si>
  <si>
    <t>1800×2200</t>
  </si>
  <si>
    <t>C4a</t>
  </si>
  <si>
    <t>1800×3000</t>
  </si>
  <si>
    <t>60系列普通铝合金8厚钢化玻璃固定窗</t>
  </si>
  <si>
    <t>600×2600</t>
  </si>
  <si>
    <t>3600×1500</t>
  </si>
  <si>
    <t>60A系列普通铝合金6+12A+6隔音玻璃固定窗</t>
  </si>
  <si>
    <t>GC1</t>
  </si>
  <si>
    <t>3500×900</t>
  </si>
  <si>
    <t>1200×1000</t>
  </si>
  <si>
    <t>白色普通铝合金百叶</t>
  </si>
  <si>
    <t>DK1</t>
  </si>
  <si>
    <t>800×1000</t>
  </si>
  <si>
    <t>门洞</t>
  </si>
  <si>
    <t>1100×2700</t>
  </si>
  <si>
    <t>1000×2700</t>
  </si>
  <si>
    <t>四、体育馆铝合金门窗</t>
  </si>
  <si>
    <t>1500×2700</t>
  </si>
  <si>
    <t>LM3</t>
  </si>
  <si>
    <t>650×3900</t>
  </si>
  <si>
    <t>1800×1800</t>
  </si>
  <si>
    <t>60系列普通铝合金平开窗，8厚钢化玻璃</t>
  </si>
  <si>
    <t>C1a</t>
  </si>
  <si>
    <t>1200×2100</t>
  </si>
  <si>
    <t>五、校门铝合金门窗</t>
  </si>
  <si>
    <t>600×1500</t>
  </si>
  <si>
    <t>60A系列断热铝合金6Low-E+12A+6窗</t>
  </si>
  <si>
    <t>4800×1500</t>
  </si>
  <si>
    <t>2400×1500</t>
  </si>
  <si>
    <t>800×1800</t>
  </si>
  <si>
    <t>六、宿舍楼铝合金门窗</t>
  </si>
  <si>
    <t>M2</t>
  </si>
  <si>
    <t>900×2100</t>
  </si>
  <si>
    <t>100系列断热铝合金地弹门</t>
  </si>
  <si>
    <t>1500×1800</t>
  </si>
  <si>
    <t>60系列断热铝合金6Low-E+12A+6平开门</t>
  </si>
  <si>
    <t>1000×1800</t>
  </si>
  <si>
    <t>1200×2400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</si>
</sst>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color theme="1"/>
      <name val="宋体"/>
      <charset val="134"/>
    </font>
    <font>
      <b/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 wrapText="1"/>
    </xf>
    <xf numFmtId="176" fontId="3" fillId="0" borderId="3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vertical="center" wrapText="1"/>
    </xf>
    <xf numFmtId="176" fontId="3" fillId="0" borderId="1" xfId="0" applyNumberFormat="1" applyFont="1" applyBorder="1" applyAlignment="1">
      <alignment horizontal="justify" vertical="center" wrapText="1"/>
    </xf>
    <xf numFmtId="0" fontId="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176" fontId="1" fillId="0" borderId="0" xfId="0" applyNumberFormat="1" applyFont="1">
      <alignment vertical="center"/>
    </xf>
    <xf numFmtId="176" fontId="2" fillId="0" borderId="0" xfId="0" applyNumberFormat="1" applyFont="1" applyAlignment="1">
      <alignment horizontal="center" vertical="center"/>
    </xf>
    <xf numFmtId="176" fontId="0" fillId="0" borderId="0" xfId="0" applyNumberFormat="1" applyFont="1" applyBorder="1" applyAlignment="1">
      <alignment horizontal="left" vertical="center"/>
    </xf>
    <xf numFmtId="176" fontId="1" fillId="0" borderId="0" xfId="0" applyNumberFormat="1" applyFont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76" fontId="5" fillId="0" borderId="0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176" fontId="1" fillId="0" borderId="0" xfId="0" applyNumberFormat="1" applyFont="1" applyAlignment="1">
      <alignment horizontal="left" vertical="center"/>
    </xf>
    <xf numFmtId="0" fontId="1" fillId="0" borderId="0" xfId="0" applyFont="1" applyBorder="1">
      <alignment vertical="center"/>
    </xf>
    <xf numFmtId="176" fontId="1" fillId="0" borderId="0" xfId="0" applyNumberFormat="1" applyFont="1" applyBorder="1">
      <alignment vertical="center"/>
    </xf>
    <xf numFmtId="176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176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176" fontId="0" fillId="0" borderId="0" xfId="0" applyNumberFormat="1" applyFont="1" applyFill="1" applyAlignment="1">
      <alignment horizontal="left" vertical="center"/>
    </xf>
    <xf numFmtId="176" fontId="0" fillId="0" borderId="0" xfId="0" applyNumberFormat="1" applyFont="1" applyFill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zoomScale="115" zoomScaleNormal="115" workbookViewId="0">
      <selection activeCell="G9" sqref="G9"/>
    </sheetView>
  </sheetViews>
  <sheetFormatPr defaultColWidth="9" defaultRowHeight="13.5" outlineLevelCol="5"/>
  <cols>
    <col min="1" max="1" width="10.75" style="27" customWidth="1"/>
    <col min="2" max="2" width="33.25" customWidth="1"/>
    <col min="3" max="3" width="28.75" customWidth="1"/>
    <col min="4" max="4" width="13.125" style="27" customWidth="1"/>
  </cols>
  <sheetData>
    <row r="1" ht="35" customHeight="1" spans="1:4">
      <c r="A1" s="28" t="s">
        <v>0</v>
      </c>
      <c r="B1" s="28"/>
      <c r="C1" s="28"/>
      <c r="D1" s="28"/>
    </row>
    <row r="2" ht="22" customHeight="1" spans="1:4">
      <c r="A2" s="29" t="s">
        <v>1</v>
      </c>
      <c r="B2" s="29"/>
      <c r="C2" s="29"/>
      <c r="D2" s="29"/>
    </row>
    <row r="3" ht="40" customHeight="1" spans="1:4">
      <c r="A3" s="30" t="s">
        <v>2</v>
      </c>
      <c r="B3" s="30" t="s">
        <v>3</v>
      </c>
      <c r="C3" s="30" t="s">
        <v>4</v>
      </c>
      <c r="D3" s="30" t="s">
        <v>5</v>
      </c>
    </row>
    <row r="4" ht="40" customHeight="1" spans="1:4">
      <c r="A4" s="30" t="s">
        <v>6</v>
      </c>
      <c r="B4" s="31" t="s">
        <v>7</v>
      </c>
      <c r="C4" s="32">
        <f>报告厅及食堂!H27</f>
        <v>0</v>
      </c>
      <c r="D4" s="30"/>
    </row>
    <row r="5" ht="40" customHeight="1" spans="1:4">
      <c r="A5" s="30" t="s">
        <v>8</v>
      </c>
      <c r="B5" s="31" t="s">
        <v>9</v>
      </c>
      <c r="C5" s="32">
        <f>多功能馆!H17</f>
        <v>0</v>
      </c>
      <c r="D5" s="30"/>
    </row>
    <row r="6" ht="40" customHeight="1" spans="1:4">
      <c r="A6" s="30" t="s">
        <v>10</v>
      </c>
      <c r="B6" s="31" t="s">
        <v>11</v>
      </c>
      <c r="C6" s="32">
        <f>教学综合楼!H16</f>
        <v>0</v>
      </c>
      <c r="D6" s="30"/>
    </row>
    <row r="7" ht="40" customHeight="1" spans="1:4">
      <c r="A7" s="30" t="s">
        <v>12</v>
      </c>
      <c r="B7" s="31" t="s">
        <v>13</v>
      </c>
      <c r="C7" s="32">
        <f>体育馆!H15</f>
        <v>0</v>
      </c>
      <c r="D7" s="30"/>
    </row>
    <row r="8" ht="40" customHeight="1" spans="1:4">
      <c r="A8" s="30" t="s">
        <v>14</v>
      </c>
      <c r="B8" s="31" t="s">
        <v>15</v>
      </c>
      <c r="C8" s="32">
        <f>校门!H9</f>
        <v>0</v>
      </c>
      <c r="D8" s="30"/>
    </row>
    <row r="9" ht="40" customHeight="1" spans="1:4">
      <c r="A9" s="30" t="s">
        <v>16</v>
      </c>
      <c r="B9" s="31" t="s">
        <v>17</v>
      </c>
      <c r="C9" s="32">
        <f>宿舍楼!H9</f>
        <v>0</v>
      </c>
      <c r="D9" s="30"/>
    </row>
    <row r="10" ht="40" customHeight="1" spans="1:4">
      <c r="A10" s="30" t="s">
        <v>18</v>
      </c>
      <c r="B10" s="30"/>
      <c r="C10" s="32">
        <f>SUM(C4:C9)</f>
        <v>0</v>
      </c>
      <c r="D10" s="30"/>
    </row>
    <row r="11" ht="82" customHeight="1" spans="1:4">
      <c r="A11" s="33" t="s">
        <v>19</v>
      </c>
      <c r="B11" s="34"/>
      <c r="C11" s="34"/>
      <c r="D11" s="34"/>
    </row>
    <row r="13" ht="20" customHeight="1" spans="3:6">
      <c r="C13" s="35" t="s">
        <v>20</v>
      </c>
      <c r="D13" s="35"/>
      <c r="E13" s="36"/>
      <c r="F13" s="36"/>
    </row>
    <row r="14" ht="20" customHeight="1" spans="3:6">
      <c r="C14" s="35" t="s">
        <v>21</v>
      </c>
      <c r="D14" s="35"/>
      <c r="E14" s="36"/>
      <c r="F14" s="36"/>
    </row>
    <row r="15" ht="20" customHeight="1" spans="3:6">
      <c r="C15" s="35" t="s">
        <v>22</v>
      </c>
      <c r="D15" s="35"/>
      <c r="E15" s="36"/>
      <c r="F15" s="36"/>
    </row>
    <row r="16" ht="20" customHeight="1" spans="3:6">
      <c r="C16" s="35" t="s">
        <v>23</v>
      </c>
      <c r="D16" s="35"/>
      <c r="E16" s="36"/>
      <c r="F16" s="36"/>
    </row>
  </sheetData>
  <mergeCells count="8">
    <mergeCell ref="A1:D1"/>
    <mergeCell ref="A2:D2"/>
    <mergeCell ref="A10:B10"/>
    <mergeCell ref="A11:D11"/>
    <mergeCell ref="C13:D13"/>
    <mergeCell ref="C14:D14"/>
    <mergeCell ref="C15:D15"/>
    <mergeCell ref="C16:D16"/>
  </mergeCells>
  <pageMargins left="0.786805555555556" right="0.786805555555556" top="0.984027777777778" bottom="0.786805555555556" header="0.393055555555556" footer="0.393055555555556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9"/>
  <sheetViews>
    <sheetView zoomScale="85" zoomScaleNormal="85" workbookViewId="0">
      <selection activeCell="N21" sqref="N21"/>
    </sheetView>
  </sheetViews>
  <sheetFormatPr defaultColWidth="9" defaultRowHeight="13.5"/>
  <cols>
    <col min="1" max="1" width="7.05833333333333" style="1" customWidth="1"/>
    <col min="2" max="2" width="10.8666666666667" style="1" customWidth="1"/>
    <col min="3" max="3" width="12.1666666666667" style="1" customWidth="1"/>
    <col min="4" max="4" width="5.975" style="1" customWidth="1"/>
    <col min="5" max="5" width="11.1416666666667" style="1" customWidth="1"/>
    <col min="6" max="6" width="8.8" style="16" customWidth="1"/>
    <col min="7" max="7" width="10.2166666666667" style="16" customWidth="1"/>
    <col min="8" max="8" width="14.1333333333333" style="19" customWidth="1"/>
    <col min="9" max="9" width="50.4333333333333" style="1" customWidth="1"/>
  </cols>
  <sheetData>
    <row r="1" ht="34" customHeight="1" spans="1:9">
      <c r="A1" s="20" t="s">
        <v>24</v>
      </c>
      <c r="B1" s="20"/>
      <c r="C1" s="20"/>
      <c r="D1" s="20"/>
      <c r="E1" s="20"/>
      <c r="F1" s="21"/>
      <c r="G1" s="21"/>
      <c r="H1" s="21"/>
      <c r="I1" s="20"/>
    </row>
    <row r="2" customFormat="1" spans="1:9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4" t="s">
        <v>30</v>
      </c>
      <c r="G2" s="7" t="s">
        <v>31</v>
      </c>
      <c r="H2" s="7" t="s">
        <v>32</v>
      </c>
      <c r="I2" s="3" t="s">
        <v>33</v>
      </c>
    </row>
    <row r="3" customFormat="1" spans="1:9">
      <c r="A3" s="3"/>
      <c r="B3" s="3"/>
      <c r="C3" s="3" t="s">
        <v>34</v>
      </c>
      <c r="D3" s="3"/>
      <c r="E3" s="3"/>
      <c r="F3" s="5"/>
      <c r="G3" s="7"/>
      <c r="H3" s="7"/>
      <c r="I3" s="3"/>
    </row>
    <row r="4" ht="15" customHeight="1" spans="1:9">
      <c r="A4" s="3" t="s">
        <v>35</v>
      </c>
      <c r="B4" s="3" t="s">
        <v>36</v>
      </c>
      <c r="C4" s="3" t="s">
        <v>37</v>
      </c>
      <c r="D4" s="3">
        <v>1</v>
      </c>
      <c r="E4" s="3" t="s">
        <v>38</v>
      </c>
      <c r="F4" s="7">
        <f>1.8*3.3*D4</f>
        <v>5.94</v>
      </c>
      <c r="G4" s="7"/>
      <c r="H4" s="7">
        <f>F4*G4</f>
        <v>0</v>
      </c>
      <c r="I4" s="10" t="s">
        <v>39</v>
      </c>
    </row>
    <row r="5" ht="15" customHeight="1" spans="1:9">
      <c r="A5" s="3"/>
      <c r="B5" s="3" t="s">
        <v>40</v>
      </c>
      <c r="C5" s="3" t="s">
        <v>41</v>
      </c>
      <c r="D5" s="3">
        <v>1</v>
      </c>
      <c r="E5" s="3" t="s">
        <v>38</v>
      </c>
      <c r="F5" s="7">
        <f>1.8*2.18*D5</f>
        <v>3.924</v>
      </c>
      <c r="G5" s="7"/>
      <c r="H5" s="7">
        <f t="shared" ref="H5:H26" si="0">F5*G5</f>
        <v>0</v>
      </c>
      <c r="I5" s="9" t="s">
        <v>39</v>
      </c>
    </row>
    <row r="6" ht="15" customHeight="1" spans="1:9">
      <c r="A6" s="3" t="s">
        <v>42</v>
      </c>
      <c r="B6" s="3" t="s">
        <v>43</v>
      </c>
      <c r="C6" s="3" t="s">
        <v>44</v>
      </c>
      <c r="D6" s="3">
        <v>1</v>
      </c>
      <c r="E6" s="3" t="s">
        <v>38</v>
      </c>
      <c r="F6" s="7">
        <f>4.2*5.5*D6</f>
        <v>23.1</v>
      </c>
      <c r="G6" s="7"/>
      <c r="H6" s="7">
        <f t="shared" si="0"/>
        <v>0</v>
      </c>
      <c r="I6" s="10" t="s">
        <v>39</v>
      </c>
    </row>
    <row r="7" ht="15" customHeight="1" spans="1:9">
      <c r="A7" s="3"/>
      <c r="B7" s="3" t="s">
        <v>45</v>
      </c>
      <c r="C7" s="3" t="s">
        <v>46</v>
      </c>
      <c r="D7" s="3">
        <v>1</v>
      </c>
      <c r="E7" s="3" t="s">
        <v>38</v>
      </c>
      <c r="F7" s="7">
        <f>7.6*5.5*D7</f>
        <v>41.8</v>
      </c>
      <c r="G7" s="7"/>
      <c r="H7" s="7">
        <f t="shared" si="0"/>
        <v>0</v>
      </c>
      <c r="I7" s="9" t="s">
        <v>39</v>
      </c>
    </row>
    <row r="8" ht="15" customHeight="1" spans="1:9">
      <c r="A8" s="3"/>
      <c r="B8" s="3" t="s">
        <v>47</v>
      </c>
      <c r="C8" s="3" t="s">
        <v>48</v>
      </c>
      <c r="D8" s="3">
        <v>1</v>
      </c>
      <c r="E8" s="3" t="s">
        <v>38</v>
      </c>
      <c r="F8" s="7">
        <f>8.95*2.4*D8</f>
        <v>21.48</v>
      </c>
      <c r="G8" s="7"/>
      <c r="H8" s="7">
        <f t="shared" si="0"/>
        <v>0</v>
      </c>
      <c r="I8" s="9" t="s">
        <v>49</v>
      </c>
    </row>
    <row r="9" ht="15" customHeight="1" spans="1:9">
      <c r="A9" s="8" t="s">
        <v>50</v>
      </c>
      <c r="B9" s="3" t="s">
        <v>51</v>
      </c>
      <c r="C9" s="3" t="s">
        <v>52</v>
      </c>
      <c r="D9" s="3">
        <v>2</v>
      </c>
      <c r="E9" s="3" t="s">
        <v>38</v>
      </c>
      <c r="F9" s="7">
        <f>5.3*5.3*D9</f>
        <v>56.18</v>
      </c>
      <c r="G9" s="7"/>
      <c r="H9" s="7">
        <f t="shared" si="0"/>
        <v>0</v>
      </c>
      <c r="I9" s="10" t="s">
        <v>53</v>
      </c>
    </row>
    <row r="10" ht="15" customHeight="1" spans="1:9">
      <c r="A10" s="8"/>
      <c r="B10" s="3" t="s">
        <v>54</v>
      </c>
      <c r="C10" s="3" t="s">
        <v>55</v>
      </c>
      <c r="D10" s="3">
        <v>1</v>
      </c>
      <c r="E10" s="3" t="s">
        <v>38</v>
      </c>
      <c r="F10" s="7">
        <f>8.8*5.3*D10</f>
        <v>46.64</v>
      </c>
      <c r="G10" s="7"/>
      <c r="H10" s="7">
        <f t="shared" si="0"/>
        <v>0</v>
      </c>
      <c r="I10" s="9" t="s">
        <v>53</v>
      </c>
    </row>
    <row r="11" ht="15" customHeight="1" spans="1:9">
      <c r="A11" s="8"/>
      <c r="B11" s="3" t="s">
        <v>56</v>
      </c>
      <c r="C11" s="3" t="s">
        <v>57</v>
      </c>
      <c r="D11" s="3">
        <v>1</v>
      </c>
      <c r="E11" s="3" t="s">
        <v>38</v>
      </c>
      <c r="F11" s="7">
        <f>6.5*5.3*D11</f>
        <v>34.45</v>
      </c>
      <c r="G11" s="7"/>
      <c r="H11" s="7">
        <f t="shared" si="0"/>
        <v>0</v>
      </c>
      <c r="I11" s="9" t="s">
        <v>58</v>
      </c>
    </row>
    <row r="12" ht="15" customHeight="1" spans="1:9">
      <c r="A12" s="8"/>
      <c r="B12" s="3" t="s">
        <v>59</v>
      </c>
      <c r="C12" s="3" t="s">
        <v>60</v>
      </c>
      <c r="D12" s="3">
        <v>1</v>
      </c>
      <c r="E12" s="3" t="s">
        <v>38</v>
      </c>
      <c r="F12" s="7">
        <f>7.6*5.3*D12</f>
        <v>40.28</v>
      </c>
      <c r="G12" s="7"/>
      <c r="H12" s="7">
        <f t="shared" si="0"/>
        <v>0</v>
      </c>
      <c r="I12" s="9" t="s">
        <v>61</v>
      </c>
    </row>
    <row r="13" ht="15" customHeight="1" spans="1:9">
      <c r="A13" s="8"/>
      <c r="B13" s="3">
        <v>0</v>
      </c>
      <c r="C13" s="3" t="s">
        <v>62</v>
      </c>
      <c r="D13" s="3">
        <v>1</v>
      </c>
      <c r="E13" s="3" t="s">
        <v>38</v>
      </c>
      <c r="F13" s="7">
        <f>7.7*5.3*D13</f>
        <v>40.81</v>
      </c>
      <c r="G13" s="7"/>
      <c r="H13" s="7">
        <f t="shared" si="0"/>
        <v>0</v>
      </c>
      <c r="I13" s="9" t="s">
        <v>61</v>
      </c>
    </row>
    <row r="14" ht="15" customHeight="1" spans="1:9">
      <c r="A14" s="8"/>
      <c r="B14" s="3" t="s">
        <v>63</v>
      </c>
      <c r="C14" s="3" t="s">
        <v>64</v>
      </c>
      <c r="D14" s="3">
        <v>3</v>
      </c>
      <c r="E14" s="3" t="s">
        <v>38</v>
      </c>
      <c r="F14" s="7">
        <f>1.2*2.2*D14</f>
        <v>7.92</v>
      </c>
      <c r="G14" s="7"/>
      <c r="H14" s="7">
        <f t="shared" si="0"/>
        <v>0</v>
      </c>
      <c r="I14" s="9" t="s">
        <v>61</v>
      </c>
    </row>
    <row r="15" ht="15" customHeight="1" spans="1:9">
      <c r="A15" s="8"/>
      <c r="B15" s="3" t="s">
        <v>65</v>
      </c>
      <c r="C15" s="3" t="s">
        <v>66</v>
      </c>
      <c r="D15" s="3">
        <v>3</v>
      </c>
      <c r="E15" s="3" t="s">
        <v>38</v>
      </c>
      <c r="F15" s="7">
        <f>1.2*1.5*D15</f>
        <v>5.4</v>
      </c>
      <c r="G15" s="7"/>
      <c r="H15" s="7">
        <f t="shared" si="0"/>
        <v>0</v>
      </c>
      <c r="I15" s="9" t="s">
        <v>61</v>
      </c>
    </row>
    <row r="16" ht="15" customHeight="1" spans="1:9">
      <c r="A16" s="8"/>
      <c r="B16" s="3" t="s">
        <v>67</v>
      </c>
      <c r="C16" s="3" t="s">
        <v>68</v>
      </c>
      <c r="D16" s="3">
        <v>4</v>
      </c>
      <c r="E16" s="3" t="s">
        <v>38</v>
      </c>
      <c r="F16" s="7">
        <f>1.5*2.2*D16</f>
        <v>13.2</v>
      </c>
      <c r="G16" s="7"/>
      <c r="H16" s="7">
        <f t="shared" si="0"/>
        <v>0</v>
      </c>
      <c r="I16" s="9" t="s">
        <v>69</v>
      </c>
    </row>
    <row r="17" ht="15" customHeight="1" spans="1:9">
      <c r="A17" s="8"/>
      <c r="B17" s="3" t="s">
        <v>70</v>
      </c>
      <c r="C17" s="3" t="s">
        <v>71</v>
      </c>
      <c r="D17" s="3">
        <v>2</v>
      </c>
      <c r="E17" s="3" t="s">
        <v>38</v>
      </c>
      <c r="F17" s="7">
        <f>2.4*2.2*D17</f>
        <v>10.56</v>
      </c>
      <c r="G17" s="7"/>
      <c r="H17" s="7">
        <f t="shared" si="0"/>
        <v>0</v>
      </c>
      <c r="I17" s="9" t="s">
        <v>69</v>
      </c>
    </row>
    <row r="18" ht="15" customHeight="1" spans="1:9">
      <c r="A18" s="8"/>
      <c r="B18" s="3" t="s">
        <v>72</v>
      </c>
      <c r="C18" s="3" t="s">
        <v>73</v>
      </c>
      <c r="D18" s="3">
        <v>61</v>
      </c>
      <c r="E18" s="3" t="s">
        <v>38</v>
      </c>
      <c r="F18" s="7">
        <f>0.6*7*D18</f>
        <v>256.2</v>
      </c>
      <c r="G18" s="7"/>
      <c r="H18" s="7">
        <f t="shared" si="0"/>
        <v>0</v>
      </c>
      <c r="I18" s="9" t="s">
        <v>61</v>
      </c>
    </row>
    <row r="19" ht="15" customHeight="1" spans="1:9">
      <c r="A19" s="8"/>
      <c r="B19" s="3" t="s">
        <v>74</v>
      </c>
      <c r="C19" s="3" t="s">
        <v>73</v>
      </c>
      <c r="D19" s="3">
        <v>2</v>
      </c>
      <c r="E19" s="3" t="s">
        <v>38</v>
      </c>
      <c r="F19" s="7">
        <f>0.6*7*D19</f>
        <v>8.4</v>
      </c>
      <c r="G19" s="7"/>
      <c r="H19" s="7">
        <f t="shared" si="0"/>
        <v>0</v>
      </c>
      <c r="I19" s="9" t="s">
        <v>61</v>
      </c>
    </row>
    <row r="20" ht="15" customHeight="1" spans="1:9">
      <c r="A20" s="8"/>
      <c r="B20" s="3" t="s">
        <v>75</v>
      </c>
      <c r="C20" s="3" t="s">
        <v>76</v>
      </c>
      <c r="D20" s="3">
        <v>2</v>
      </c>
      <c r="E20" s="3" t="s">
        <v>38</v>
      </c>
      <c r="F20" s="7">
        <f>1.5*1.2*D20</f>
        <v>3.6</v>
      </c>
      <c r="G20" s="7"/>
      <c r="H20" s="7">
        <f t="shared" si="0"/>
        <v>0</v>
      </c>
      <c r="I20" s="9" t="s">
        <v>77</v>
      </c>
    </row>
    <row r="21" ht="15" customHeight="1" spans="1:9">
      <c r="A21" s="8"/>
      <c r="B21" s="3" t="s">
        <v>78</v>
      </c>
      <c r="C21" s="3" t="s">
        <v>79</v>
      </c>
      <c r="D21" s="3">
        <v>1</v>
      </c>
      <c r="E21" s="3" t="s">
        <v>38</v>
      </c>
      <c r="F21" s="7">
        <f>1*7*D21</f>
        <v>7</v>
      </c>
      <c r="G21" s="7"/>
      <c r="H21" s="7">
        <f t="shared" si="0"/>
        <v>0</v>
      </c>
      <c r="I21" s="9" t="s">
        <v>80</v>
      </c>
    </row>
    <row r="22" ht="15" customHeight="1" spans="1:9">
      <c r="A22" s="8"/>
      <c r="B22" s="3" t="s">
        <v>81</v>
      </c>
      <c r="C22" s="3" t="s">
        <v>82</v>
      </c>
      <c r="D22" s="3">
        <v>1</v>
      </c>
      <c r="E22" s="3" t="s">
        <v>38</v>
      </c>
      <c r="F22" s="7">
        <f>3.7*1.8*D22</f>
        <v>6.66</v>
      </c>
      <c r="G22" s="7"/>
      <c r="H22" s="7">
        <f t="shared" si="0"/>
        <v>0</v>
      </c>
      <c r="I22" s="9" t="s">
        <v>83</v>
      </c>
    </row>
    <row r="23" ht="15" customHeight="1" spans="1:9">
      <c r="A23" s="3" t="s">
        <v>84</v>
      </c>
      <c r="B23" s="3" t="s">
        <v>85</v>
      </c>
      <c r="C23" s="3" t="s">
        <v>86</v>
      </c>
      <c r="D23" s="3">
        <v>1</v>
      </c>
      <c r="E23" s="3" t="s">
        <v>38</v>
      </c>
      <c r="F23" s="7">
        <f>1.5*2.4*D23</f>
        <v>3.6</v>
      </c>
      <c r="G23" s="7"/>
      <c r="H23" s="7">
        <f t="shared" si="0"/>
        <v>0</v>
      </c>
      <c r="I23" s="10" t="s">
        <v>87</v>
      </c>
    </row>
    <row r="24" ht="15" customHeight="1" spans="1:9">
      <c r="A24" s="3"/>
      <c r="B24" s="3" t="s">
        <v>88</v>
      </c>
      <c r="C24" s="3" t="s">
        <v>89</v>
      </c>
      <c r="D24" s="3">
        <v>2</v>
      </c>
      <c r="E24" s="3" t="s">
        <v>38</v>
      </c>
      <c r="F24" s="7">
        <f>3*2.4*D24</f>
        <v>14.4</v>
      </c>
      <c r="G24" s="7"/>
      <c r="H24" s="7">
        <f t="shared" si="0"/>
        <v>0</v>
      </c>
      <c r="I24" s="9" t="s">
        <v>87</v>
      </c>
    </row>
    <row r="25" ht="15" customHeight="1" spans="1:9">
      <c r="A25" s="3" t="s">
        <v>90</v>
      </c>
      <c r="B25" s="3" t="s">
        <v>91</v>
      </c>
      <c r="C25" s="3" t="s">
        <v>92</v>
      </c>
      <c r="D25" s="3">
        <v>1</v>
      </c>
      <c r="E25" s="3"/>
      <c r="F25" s="7">
        <f>1.8*7.4*D25</f>
        <v>13.32</v>
      </c>
      <c r="G25" s="7"/>
      <c r="H25" s="7">
        <f t="shared" si="0"/>
        <v>0</v>
      </c>
      <c r="I25" s="10" t="s">
        <v>93</v>
      </c>
    </row>
    <row r="26" ht="15" customHeight="1" spans="1:9">
      <c r="A26" s="3"/>
      <c r="B26" s="3" t="s">
        <v>94</v>
      </c>
      <c r="C26" s="3" t="s">
        <v>95</v>
      </c>
      <c r="D26" s="3">
        <v>4</v>
      </c>
      <c r="E26" s="3"/>
      <c r="F26" s="7">
        <f>0.9*2.46*D26</f>
        <v>8.856</v>
      </c>
      <c r="G26" s="11"/>
      <c r="H26" s="7">
        <f t="shared" si="0"/>
        <v>0</v>
      </c>
      <c r="I26" s="9" t="s">
        <v>93</v>
      </c>
    </row>
    <row r="27" ht="20" customHeight="1" spans="1:9">
      <c r="A27" s="3" t="s">
        <v>96</v>
      </c>
      <c r="B27" s="3"/>
      <c r="C27" s="3"/>
      <c r="D27" s="3"/>
      <c r="E27" s="9"/>
      <c r="F27" s="11"/>
      <c r="G27" s="11"/>
      <c r="H27" s="7">
        <f>SUM(H4:H26)</f>
        <v>0</v>
      </c>
      <c r="I27" s="9"/>
    </row>
    <row r="28" spans="1:9">
      <c r="A28" s="22" t="s">
        <v>97</v>
      </c>
      <c r="B28" s="22"/>
      <c r="C28" s="22"/>
      <c r="D28" s="22"/>
      <c r="E28" s="22"/>
      <c r="F28" s="23"/>
      <c r="G28" s="23"/>
      <c r="I28" s="22"/>
    </row>
    <row r="29" spans="1:9">
      <c r="A29" s="24"/>
      <c r="B29" s="24"/>
      <c r="C29" s="24"/>
      <c r="D29" s="24"/>
      <c r="E29" s="24"/>
      <c r="F29" s="25"/>
      <c r="G29" s="25"/>
      <c r="H29" s="26"/>
      <c r="I29" s="24"/>
    </row>
  </sheetData>
  <mergeCells count="16">
    <mergeCell ref="A1:I1"/>
    <mergeCell ref="A27:D27"/>
    <mergeCell ref="A28:I28"/>
    <mergeCell ref="A2:A3"/>
    <mergeCell ref="A4:A5"/>
    <mergeCell ref="A6:A8"/>
    <mergeCell ref="A9:A22"/>
    <mergeCell ref="A23:A24"/>
    <mergeCell ref="A25:A26"/>
    <mergeCell ref="B2:B3"/>
    <mergeCell ref="D2:D3"/>
    <mergeCell ref="E2:E3"/>
    <mergeCell ref="F2:F3"/>
    <mergeCell ref="G2:G3"/>
    <mergeCell ref="H2:H3"/>
    <mergeCell ref="I2:I3"/>
  </mergeCells>
  <pageMargins left="0.786805555555556" right="0.786805555555556" top="0.786805555555556" bottom="0.786805555555556" header="0.393055555555556" footer="0.393055555555556"/>
  <pageSetup paperSize="9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8"/>
  <sheetViews>
    <sheetView zoomScale="115" zoomScaleNormal="115" workbookViewId="0">
      <selection activeCell="D2" sqref="D2:D3"/>
    </sheetView>
  </sheetViews>
  <sheetFormatPr defaultColWidth="9" defaultRowHeight="13.5"/>
  <cols>
    <col min="1" max="1" width="7.05833333333333" style="1" customWidth="1"/>
    <col min="2" max="2" width="10.8666666666667" style="1" customWidth="1"/>
    <col min="3" max="3" width="12.1666666666667" style="1" customWidth="1"/>
    <col min="4" max="4" width="5.65" style="1" customWidth="1"/>
    <col min="5" max="5" width="11.95" style="1" customWidth="1"/>
    <col min="6" max="6" width="8.90833333333333" style="16" customWidth="1"/>
    <col min="7" max="7" width="13.2583333333333" style="16" customWidth="1"/>
    <col min="8" max="8" width="15.8666666666667" style="16" customWidth="1"/>
    <col min="9" max="9" width="42.925" style="1" customWidth="1"/>
  </cols>
  <sheetData>
    <row r="1" ht="31" customHeight="1" spans="1:9">
      <c r="A1" s="2" t="s">
        <v>98</v>
      </c>
      <c r="B1" s="2"/>
      <c r="C1" s="2"/>
      <c r="D1" s="2"/>
      <c r="E1" s="2"/>
      <c r="F1" s="17"/>
      <c r="G1" s="17"/>
      <c r="H1" s="17"/>
      <c r="I1" s="2"/>
    </row>
    <row r="2" ht="18" customHeight="1" spans="1:9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4" t="s">
        <v>30</v>
      </c>
      <c r="G2" s="7" t="s">
        <v>31</v>
      </c>
      <c r="H2" s="7" t="s">
        <v>32</v>
      </c>
      <c r="I2" s="3" t="s">
        <v>33</v>
      </c>
    </row>
    <row r="3" ht="18" customHeight="1" spans="1:9">
      <c r="A3" s="3"/>
      <c r="B3" s="3"/>
      <c r="C3" s="3" t="s">
        <v>34</v>
      </c>
      <c r="D3" s="3"/>
      <c r="E3" s="3"/>
      <c r="F3" s="5"/>
      <c r="G3" s="7"/>
      <c r="H3" s="7"/>
      <c r="I3" s="3"/>
    </row>
    <row r="4" ht="18" customHeight="1" spans="1:9">
      <c r="A4" s="3" t="s">
        <v>35</v>
      </c>
      <c r="B4" s="3" t="s">
        <v>99</v>
      </c>
      <c r="C4" s="3" t="s">
        <v>100</v>
      </c>
      <c r="D4" s="3">
        <v>1</v>
      </c>
      <c r="E4" s="3" t="s">
        <v>38</v>
      </c>
      <c r="F4" s="7">
        <f>3.2*3.9*D4</f>
        <v>12.48</v>
      </c>
      <c r="G4" s="7"/>
      <c r="H4" s="7">
        <f>F4*G4</f>
        <v>0</v>
      </c>
      <c r="I4" s="14" t="s">
        <v>39</v>
      </c>
    </row>
    <row r="5" ht="18" customHeight="1" spans="1:9">
      <c r="A5" s="3"/>
      <c r="B5" s="3" t="s">
        <v>101</v>
      </c>
      <c r="C5" s="3" t="s">
        <v>102</v>
      </c>
      <c r="D5" s="3">
        <v>1</v>
      </c>
      <c r="E5" s="3" t="s">
        <v>103</v>
      </c>
      <c r="F5" s="7">
        <f>3.2*2.4*D5</f>
        <v>7.68</v>
      </c>
      <c r="G5" s="7"/>
      <c r="H5" s="7">
        <f t="shared" ref="H5:H16" si="0">F5*G5</f>
        <v>0</v>
      </c>
      <c r="I5" s="14" t="s">
        <v>39</v>
      </c>
    </row>
    <row r="6" ht="18" customHeight="1" spans="1:9">
      <c r="A6" s="3" t="s">
        <v>42</v>
      </c>
      <c r="B6" s="3" t="s">
        <v>43</v>
      </c>
      <c r="C6" s="3" t="s">
        <v>100</v>
      </c>
      <c r="D6" s="3">
        <v>1</v>
      </c>
      <c r="E6" s="3" t="s">
        <v>38</v>
      </c>
      <c r="F6" s="7">
        <f>3.2*3.9*D6</f>
        <v>12.48</v>
      </c>
      <c r="G6" s="7"/>
      <c r="H6" s="7">
        <f t="shared" si="0"/>
        <v>0</v>
      </c>
      <c r="I6" s="14" t="s">
        <v>39</v>
      </c>
    </row>
    <row r="7" ht="18" customHeight="1" spans="1:9">
      <c r="A7" s="8" t="s">
        <v>50</v>
      </c>
      <c r="B7" s="3" t="s">
        <v>85</v>
      </c>
      <c r="C7" s="3" t="s">
        <v>104</v>
      </c>
      <c r="D7" s="3">
        <v>2</v>
      </c>
      <c r="E7" s="3" t="s">
        <v>38</v>
      </c>
      <c r="F7" s="7">
        <f>0.9*2*D7</f>
        <v>3.6</v>
      </c>
      <c r="G7" s="7"/>
      <c r="H7" s="7">
        <f t="shared" si="0"/>
        <v>0</v>
      </c>
      <c r="I7" s="14" t="s">
        <v>105</v>
      </c>
    </row>
    <row r="8" ht="18" customHeight="1" spans="1:9">
      <c r="A8" s="8"/>
      <c r="B8" s="3" t="s">
        <v>51</v>
      </c>
      <c r="C8" s="3" t="s">
        <v>106</v>
      </c>
      <c r="D8" s="3">
        <v>16</v>
      </c>
      <c r="E8" s="3" t="s">
        <v>38</v>
      </c>
      <c r="F8" s="7">
        <f>3.2*3.6*D8</f>
        <v>184.32</v>
      </c>
      <c r="G8" s="7"/>
      <c r="H8" s="7">
        <f t="shared" si="0"/>
        <v>0</v>
      </c>
      <c r="I8" s="14" t="s">
        <v>107</v>
      </c>
    </row>
    <row r="9" ht="18" customHeight="1" spans="1:9">
      <c r="A9" s="8"/>
      <c r="B9" s="3" t="s">
        <v>54</v>
      </c>
      <c r="C9" s="3" t="s">
        <v>108</v>
      </c>
      <c r="D9" s="3">
        <v>75</v>
      </c>
      <c r="E9" s="3" t="s">
        <v>38</v>
      </c>
      <c r="F9" s="7">
        <f>0.65*6.6*D9</f>
        <v>321.75</v>
      </c>
      <c r="G9" s="7"/>
      <c r="H9" s="7">
        <f t="shared" si="0"/>
        <v>0</v>
      </c>
      <c r="I9" s="14"/>
    </row>
    <row r="10" ht="18" customHeight="1" spans="1:9">
      <c r="A10" s="8"/>
      <c r="B10" s="3" t="s">
        <v>56</v>
      </c>
      <c r="C10" s="3" t="s">
        <v>109</v>
      </c>
      <c r="D10" s="3">
        <v>14</v>
      </c>
      <c r="E10" s="3" t="s">
        <v>38</v>
      </c>
      <c r="F10" s="7">
        <f>0.65*5.2*D10</f>
        <v>47.32</v>
      </c>
      <c r="G10" s="7"/>
      <c r="H10" s="7">
        <f t="shared" si="0"/>
        <v>0</v>
      </c>
      <c r="I10" s="14"/>
    </row>
    <row r="11" ht="18" customHeight="1" spans="1:9">
      <c r="A11" s="8"/>
      <c r="B11" s="3" t="s">
        <v>110</v>
      </c>
      <c r="C11" s="3" t="s">
        <v>111</v>
      </c>
      <c r="D11" s="3">
        <v>2</v>
      </c>
      <c r="E11" s="3" t="s">
        <v>38</v>
      </c>
      <c r="F11" s="7">
        <f>0.9*3.9*D11</f>
        <v>7.02</v>
      </c>
      <c r="G11" s="7"/>
      <c r="H11" s="7">
        <f t="shared" si="0"/>
        <v>0</v>
      </c>
      <c r="I11" s="14"/>
    </row>
    <row r="12" ht="18" customHeight="1" spans="1:9">
      <c r="A12" s="8"/>
      <c r="B12" s="3" t="s">
        <v>59</v>
      </c>
      <c r="C12" s="3" t="s">
        <v>112</v>
      </c>
      <c r="D12" s="3">
        <v>4</v>
      </c>
      <c r="E12" s="3" t="s">
        <v>38</v>
      </c>
      <c r="F12" s="7">
        <f>0.65*2.6*D12</f>
        <v>6.76</v>
      </c>
      <c r="G12" s="7"/>
      <c r="H12" s="7">
        <f t="shared" si="0"/>
        <v>0</v>
      </c>
      <c r="I12" s="14"/>
    </row>
    <row r="13" ht="18" customHeight="1" spans="1:9">
      <c r="A13" s="8"/>
      <c r="B13" s="3" t="s">
        <v>63</v>
      </c>
      <c r="C13" s="3" t="s">
        <v>113</v>
      </c>
      <c r="D13" s="3">
        <v>96</v>
      </c>
      <c r="E13" s="3" t="s">
        <v>38</v>
      </c>
      <c r="F13" s="7">
        <f>0.65*1.3*D13</f>
        <v>81.12</v>
      </c>
      <c r="G13" s="7"/>
      <c r="H13" s="7">
        <f t="shared" si="0"/>
        <v>0</v>
      </c>
      <c r="I13" s="14"/>
    </row>
    <row r="14" ht="18" customHeight="1" spans="1:9">
      <c r="A14" s="8"/>
      <c r="B14" s="3" t="s">
        <v>67</v>
      </c>
      <c r="C14" s="3" t="s">
        <v>114</v>
      </c>
      <c r="D14" s="3">
        <v>96</v>
      </c>
      <c r="E14" s="3" t="s">
        <v>38</v>
      </c>
      <c r="F14" s="7">
        <f>1.5*1.3*D14</f>
        <v>187.2</v>
      </c>
      <c r="G14" s="7"/>
      <c r="H14" s="7">
        <f t="shared" si="0"/>
        <v>0</v>
      </c>
      <c r="I14" s="14" t="s">
        <v>115</v>
      </c>
    </row>
    <row r="15" ht="18" customHeight="1" spans="1:9">
      <c r="A15" s="8"/>
      <c r="B15" s="3" t="s">
        <v>116</v>
      </c>
      <c r="C15" s="3" t="s">
        <v>106</v>
      </c>
      <c r="D15" s="3">
        <v>11</v>
      </c>
      <c r="E15" s="3" t="s">
        <v>38</v>
      </c>
      <c r="F15" s="7">
        <f>3.2*3.6*D15</f>
        <v>126.72</v>
      </c>
      <c r="G15" s="7"/>
      <c r="H15" s="7">
        <f t="shared" si="0"/>
        <v>0</v>
      </c>
      <c r="I15" s="14" t="s">
        <v>107</v>
      </c>
    </row>
    <row r="16" ht="18" customHeight="1" spans="1:9">
      <c r="A16" s="3" t="s">
        <v>90</v>
      </c>
      <c r="B16" s="3" t="s">
        <v>117</v>
      </c>
      <c r="C16" s="3" t="s">
        <v>86</v>
      </c>
      <c r="D16" s="3">
        <v>1</v>
      </c>
      <c r="E16" s="3"/>
      <c r="F16" s="7">
        <f>1.5*2.4*D16</f>
        <v>3.6</v>
      </c>
      <c r="G16" s="7"/>
      <c r="H16" s="7">
        <f t="shared" si="0"/>
        <v>0</v>
      </c>
      <c r="I16" s="10"/>
    </row>
    <row r="17" ht="25" customHeight="1" spans="1:9">
      <c r="A17" s="3" t="s">
        <v>118</v>
      </c>
      <c r="B17" s="3"/>
      <c r="C17" s="3"/>
      <c r="D17" s="3"/>
      <c r="E17" s="9"/>
      <c r="F17" s="11"/>
      <c r="G17" s="11"/>
      <c r="H17" s="7">
        <f>SUM(H4:H16)</f>
        <v>0</v>
      </c>
      <c r="I17" s="9"/>
    </row>
    <row r="18" ht="18" customHeight="1" spans="1:9">
      <c r="A18" s="12" t="s">
        <v>97</v>
      </c>
      <c r="B18" s="12"/>
      <c r="C18" s="12"/>
      <c r="D18" s="12"/>
      <c r="E18" s="12"/>
      <c r="F18" s="18"/>
      <c r="G18" s="18"/>
      <c r="H18" s="18"/>
      <c r="I18" s="12"/>
    </row>
  </sheetData>
  <mergeCells count="14">
    <mergeCell ref="A1:I1"/>
    <mergeCell ref="A17:D17"/>
    <mergeCell ref="A18:I18"/>
    <mergeCell ref="A2:A3"/>
    <mergeCell ref="A4:A5"/>
    <mergeCell ref="A7:A15"/>
    <mergeCell ref="B2:B3"/>
    <mergeCell ref="D2:D3"/>
    <mergeCell ref="E2:E3"/>
    <mergeCell ref="F2:F3"/>
    <mergeCell ref="G2:G3"/>
    <mergeCell ref="H2:H3"/>
    <mergeCell ref="I2:I3"/>
    <mergeCell ref="I8:I13"/>
  </mergeCells>
  <pageMargins left="0.786805555555556" right="0.786805555555556" top="0.786805555555556" bottom="0.786805555555556" header="0.393055555555556" footer="0.393055555555556"/>
  <pageSetup paperSize="9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zoomScale="115" zoomScaleNormal="115" workbookViewId="0">
      <selection activeCell="D2" sqref="D2:D3"/>
    </sheetView>
  </sheetViews>
  <sheetFormatPr defaultColWidth="9" defaultRowHeight="13.5"/>
  <cols>
    <col min="1" max="1" width="7.05833333333333" style="1" customWidth="1"/>
    <col min="2" max="2" width="10.8666666666667" style="1" customWidth="1"/>
    <col min="3" max="3" width="12.1666666666667" style="1" customWidth="1"/>
    <col min="4" max="4" width="5.375" style="1" customWidth="1"/>
    <col min="5" max="5" width="11.95" style="1" customWidth="1"/>
    <col min="6" max="6" width="9.13333333333333" style="1" customWidth="1"/>
    <col min="7" max="7" width="13.2583333333333" style="1" customWidth="1"/>
    <col min="8" max="8" width="15.8666666666667" style="1" customWidth="1"/>
    <col min="9" max="9" width="42.925" style="1" customWidth="1"/>
  </cols>
  <sheetData>
    <row r="1" ht="31" customHeight="1" spans="1:9">
      <c r="A1" s="2" t="s">
        <v>119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4" t="s">
        <v>30</v>
      </c>
      <c r="G2" s="3" t="s">
        <v>31</v>
      </c>
      <c r="H2" s="3" t="s">
        <v>32</v>
      </c>
      <c r="I2" s="3" t="s">
        <v>33</v>
      </c>
    </row>
    <row r="3" ht="20" customHeight="1" spans="1:9">
      <c r="A3" s="3"/>
      <c r="B3" s="3"/>
      <c r="C3" s="3" t="s">
        <v>34</v>
      </c>
      <c r="D3" s="3"/>
      <c r="E3" s="3"/>
      <c r="F3" s="5"/>
      <c r="G3" s="3"/>
      <c r="H3" s="3"/>
      <c r="I3" s="3"/>
    </row>
    <row r="4" ht="20" customHeight="1" spans="1:9">
      <c r="A4" s="8" t="s">
        <v>120</v>
      </c>
      <c r="B4" s="3" t="s">
        <v>51</v>
      </c>
      <c r="C4" s="3" t="s">
        <v>121</v>
      </c>
      <c r="D4" s="3">
        <v>37</v>
      </c>
      <c r="E4" s="3" t="s">
        <v>38</v>
      </c>
      <c r="F4" s="7">
        <f>3.6*1.8*D4</f>
        <v>239.76</v>
      </c>
      <c r="G4" s="7"/>
      <c r="H4" s="7">
        <f>F4*G4</f>
        <v>0</v>
      </c>
      <c r="I4" s="14" t="s">
        <v>122</v>
      </c>
    </row>
    <row r="5" ht="20" customHeight="1" spans="1:9">
      <c r="A5" s="8"/>
      <c r="B5" s="3" t="s">
        <v>54</v>
      </c>
      <c r="C5" s="3" t="s">
        <v>68</v>
      </c>
      <c r="D5" s="3">
        <v>28</v>
      </c>
      <c r="E5" s="3" t="s">
        <v>38</v>
      </c>
      <c r="F5" s="7">
        <f>1.5*2.2*D5</f>
        <v>92.4</v>
      </c>
      <c r="G5" s="7"/>
      <c r="H5" s="7">
        <f t="shared" ref="H5:H15" si="0">F5*G5</f>
        <v>0</v>
      </c>
      <c r="I5" s="14" t="s">
        <v>123</v>
      </c>
    </row>
    <row r="6" ht="20" customHeight="1" spans="1:9">
      <c r="A6" s="8"/>
      <c r="B6" s="3" t="s">
        <v>56</v>
      </c>
      <c r="C6" s="3" t="s">
        <v>71</v>
      </c>
      <c r="D6" s="3">
        <v>128</v>
      </c>
      <c r="E6" s="3" t="s">
        <v>38</v>
      </c>
      <c r="F6" s="7">
        <f>2.4*2.2*D6</f>
        <v>675.84</v>
      </c>
      <c r="G6" s="7"/>
      <c r="H6" s="7">
        <f t="shared" si="0"/>
        <v>0</v>
      </c>
      <c r="I6" s="14" t="s">
        <v>123</v>
      </c>
    </row>
    <row r="7" ht="20" customHeight="1" spans="1:9">
      <c r="A7" s="8"/>
      <c r="B7" s="3" t="s">
        <v>59</v>
      </c>
      <c r="C7" s="3" t="s">
        <v>124</v>
      </c>
      <c r="D7" s="3">
        <v>16</v>
      </c>
      <c r="E7" s="3" t="s">
        <v>38</v>
      </c>
      <c r="F7" s="7">
        <f>1.8*2.2*D7</f>
        <v>63.36</v>
      </c>
      <c r="G7" s="7"/>
      <c r="H7" s="7">
        <f t="shared" si="0"/>
        <v>0</v>
      </c>
      <c r="I7" s="14" t="s">
        <v>123</v>
      </c>
    </row>
    <row r="8" ht="20" customHeight="1" spans="1:9">
      <c r="A8" s="8"/>
      <c r="B8" s="3" t="s">
        <v>125</v>
      </c>
      <c r="C8" s="3" t="s">
        <v>126</v>
      </c>
      <c r="D8" s="3">
        <v>4</v>
      </c>
      <c r="E8" s="3" t="s">
        <v>38</v>
      </c>
      <c r="F8" s="7">
        <f>1.8*3*D8</f>
        <v>21.6</v>
      </c>
      <c r="G8" s="7"/>
      <c r="H8" s="7">
        <f t="shared" si="0"/>
        <v>0</v>
      </c>
      <c r="I8" s="14" t="s">
        <v>127</v>
      </c>
    </row>
    <row r="9" ht="20" customHeight="1" spans="1:9">
      <c r="A9" s="8"/>
      <c r="B9" s="3" t="s">
        <v>63</v>
      </c>
      <c r="C9" s="3" t="s">
        <v>128</v>
      </c>
      <c r="D9" s="3">
        <v>6</v>
      </c>
      <c r="E9" s="3" t="s">
        <v>38</v>
      </c>
      <c r="F9" s="7">
        <f>0.6*2.6*D9</f>
        <v>9.36</v>
      </c>
      <c r="G9" s="7"/>
      <c r="H9" s="7">
        <f t="shared" si="0"/>
        <v>0</v>
      </c>
      <c r="I9" s="14" t="s">
        <v>127</v>
      </c>
    </row>
    <row r="10" ht="20" customHeight="1" spans="1:9">
      <c r="A10" s="8"/>
      <c r="B10" s="3" t="s">
        <v>67</v>
      </c>
      <c r="C10" s="3" t="s">
        <v>129</v>
      </c>
      <c r="D10" s="3">
        <v>1</v>
      </c>
      <c r="E10" s="3" t="s">
        <v>38</v>
      </c>
      <c r="F10" s="7">
        <f>3.6*1.5*D10</f>
        <v>5.4</v>
      </c>
      <c r="G10" s="7"/>
      <c r="H10" s="7">
        <f t="shared" si="0"/>
        <v>0</v>
      </c>
      <c r="I10" s="14" t="s">
        <v>130</v>
      </c>
    </row>
    <row r="11" ht="20" customHeight="1" spans="1:9">
      <c r="A11" s="8"/>
      <c r="B11" s="3" t="s">
        <v>131</v>
      </c>
      <c r="C11" s="3" t="s">
        <v>132</v>
      </c>
      <c r="D11" s="3">
        <v>3</v>
      </c>
      <c r="E11" s="3" t="s">
        <v>38</v>
      </c>
      <c r="F11" s="7">
        <f>3.5*0.9*D11</f>
        <v>9.45</v>
      </c>
      <c r="G11" s="7"/>
      <c r="H11" s="7">
        <f t="shared" si="0"/>
        <v>0</v>
      </c>
      <c r="I11" s="14" t="s">
        <v>107</v>
      </c>
    </row>
    <row r="12" ht="20" customHeight="1" spans="1:9">
      <c r="A12" s="3" t="s">
        <v>84</v>
      </c>
      <c r="B12" s="3" t="s">
        <v>85</v>
      </c>
      <c r="C12" s="3" t="s">
        <v>133</v>
      </c>
      <c r="D12" s="3">
        <v>10</v>
      </c>
      <c r="E12" s="3" t="s">
        <v>38</v>
      </c>
      <c r="F12" s="7">
        <f>1.2*1*D12</f>
        <v>12</v>
      </c>
      <c r="G12" s="7"/>
      <c r="H12" s="7">
        <f t="shared" si="0"/>
        <v>0</v>
      </c>
      <c r="I12" s="15" t="s">
        <v>134</v>
      </c>
    </row>
    <row r="13" ht="20" customHeight="1" spans="1:9">
      <c r="A13" s="3" t="s">
        <v>90</v>
      </c>
      <c r="B13" s="3" t="s">
        <v>135</v>
      </c>
      <c r="C13" s="3" t="s">
        <v>136</v>
      </c>
      <c r="D13" s="3">
        <v>2</v>
      </c>
      <c r="E13" s="3"/>
      <c r="F13" s="7">
        <f>0.8*1*D13</f>
        <v>1.6</v>
      </c>
      <c r="G13" s="7"/>
      <c r="H13" s="7">
        <f t="shared" si="0"/>
        <v>0</v>
      </c>
      <c r="I13" s="9"/>
    </row>
    <row r="14" ht="20" customHeight="1" spans="1:9">
      <c r="A14" s="3" t="s">
        <v>137</v>
      </c>
      <c r="B14" s="3" t="s">
        <v>117</v>
      </c>
      <c r="C14" s="3" t="s">
        <v>138</v>
      </c>
      <c r="D14" s="3">
        <v>64</v>
      </c>
      <c r="E14" s="3"/>
      <c r="F14" s="7">
        <f>1.1*2.7*D14</f>
        <v>190.08</v>
      </c>
      <c r="G14" s="7"/>
      <c r="H14" s="7">
        <f t="shared" si="0"/>
        <v>0</v>
      </c>
      <c r="I14" s="10" t="s">
        <v>93</v>
      </c>
    </row>
    <row r="15" ht="20" customHeight="1" spans="1:9">
      <c r="A15" s="3"/>
      <c r="B15" s="3" t="s">
        <v>94</v>
      </c>
      <c r="C15" s="3" t="s">
        <v>139</v>
      </c>
      <c r="D15" s="3">
        <v>67</v>
      </c>
      <c r="E15" s="3"/>
      <c r="F15" s="7">
        <f>1*2.7*D15</f>
        <v>180.9</v>
      </c>
      <c r="G15" s="11"/>
      <c r="H15" s="7">
        <f t="shared" si="0"/>
        <v>0</v>
      </c>
      <c r="I15" s="9" t="s">
        <v>93</v>
      </c>
    </row>
    <row r="16" ht="30" customHeight="1" spans="1:9">
      <c r="A16" s="3" t="s">
        <v>118</v>
      </c>
      <c r="B16" s="3"/>
      <c r="C16" s="3"/>
      <c r="D16" s="3"/>
      <c r="E16" s="9"/>
      <c r="F16" s="11"/>
      <c r="G16" s="11"/>
      <c r="H16" s="7">
        <f>SUM(H4:H15)</f>
        <v>0</v>
      </c>
      <c r="I16" s="9"/>
    </row>
    <row r="17" ht="20" customHeight="1" spans="1:9">
      <c r="A17" s="12" t="s">
        <v>97</v>
      </c>
      <c r="B17" s="12"/>
      <c r="C17" s="12"/>
      <c r="D17" s="12"/>
      <c r="E17" s="12"/>
      <c r="F17" s="12"/>
      <c r="G17" s="12"/>
      <c r="H17" s="12"/>
      <c r="I17" s="12"/>
    </row>
  </sheetData>
  <mergeCells count="13">
    <mergeCell ref="A1:I1"/>
    <mergeCell ref="A16:D16"/>
    <mergeCell ref="A17:I17"/>
    <mergeCell ref="A2:A3"/>
    <mergeCell ref="A4:A11"/>
    <mergeCell ref="A14:A15"/>
    <mergeCell ref="B2:B3"/>
    <mergeCell ref="D2:D3"/>
    <mergeCell ref="E2:E3"/>
    <mergeCell ref="F2:F3"/>
    <mergeCell ref="G2:G3"/>
    <mergeCell ref="H2:H3"/>
    <mergeCell ref="I2:I3"/>
  </mergeCells>
  <pageMargins left="0.786805555555556" right="0.786805555555556" top="0.786805555555556" bottom="0.786805555555556" header="0.393055555555556" footer="0.393055555555556"/>
  <pageSetup paperSize="9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workbookViewId="0">
      <selection activeCell="D2" sqref="D2:D3"/>
    </sheetView>
  </sheetViews>
  <sheetFormatPr defaultColWidth="9" defaultRowHeight="13.5"/>
  <cols>
    <col min="1" max="1" width="7.05833333333333" style="1" customWidth="1"/>
    <col min="2" max="2" width="10.8666666666667" style="1" customWidth="1"/>
    <col min="3" max="3" width="12.1666666666667" style="1" customWidth="1"/>
    <col min="4" max="4" width="5.95833333333333" style="1" customWidth="1"/>
    <col min="5" max="5" width="11.95" style="1" customWidth="1"/>
    <col min="6" max="6" width="9.13333333333333" style="1" customWidth="1"/>
    <col min="7" max="7" width="13.2583333333333" style="1" customWidth="1"/>
    <col min="8" max="8" width="15.8666666666667" style="1" customWidth="1"/>
    <col min="9" max="9" width="42.925" style="1" customWidth="1"/>
  </cols>
  <sheetData>
    <row r="1" ht="31" customHeight="1" spans="1:9">
      <c r="A1" s="2" t="s">
        <v>140</v>
      </c>
      <c r="B1" s="2"/>
      <c r="C1" s="2"/>
      <c r="D1" s="2"/>
      <c r="E1" s="2"/>
      <c r="F1" s="2"/>
      <c r="G1" s="2"/>
      <c r="H1" s="2"/>
      <c r="I1" s="2"/>
    </row>
    <row r="2" ht="20" customHeight="1" spans="1:9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4" t="s">
        <v>30</v>
      </c>
      <c r="G2" s="3" t="s">
        <v>31</v>
      </c>
      <c r="H2" s="3" t="s">
        <v>32</v>
      </c>
      <c r="I2" s="3" t="s">
        <v>33</v>
      </c>
    </row>
    <row r="3" ht="20" customHeight="1" spans="1:9">
      <c r="A3" s="3"/>
      <c r="B3" s="3"/>
      <c r="C3" s="3" t="s">
        <v>34</v>
      </c>
      <c r="D3" s="3"/>
      <c r="E3" s="3"/>
      <c r="F3" s="5"/>
      <c r="G3" s="3"/>
      <c r="H3" s="3"/>
      <c r="I3" s="3"/>
    </row>
    <row r="4" ht="20" customHeight="1" spans="1:9">
      <c r="A4" s="8" t="s">
        <v>35</v>
      </c>
      <c r="B4" s="3" t="s">
        <v>36</v>
      </c>
      <c r="C4" s="3" t="s">
        <v>86</v>
      </c>
      <c r="D4" s="3">
        <v>1</v>
      </c>
      <c r="E4" s="3" t="s">
        <v>38</v>
      </c>
      <c r="F4" s="7">
        <f>1.5*2.4*D4</f>
        <v>3.6</v>
      </c>
      <c r="G4" s="7"/>
      <c r="H4" s="7">
        <f>F4*G4</f>
        <v>0</v>
      </c>
      <c r="I4" s="14" t="s">
        <v>39</v>
      </c>
    </row>
    <row r="5" ht="20" customHeight="1" spans="1:9">
      <c r="A5" s="8"/>
      <c r="B5" s="3" t="s">
        <v>101</v>
      </c>
      <c r="C5" s="3" t="s">
        <v>141</v>
      </c>
      <c r="D5" s="3">
        <v>3</v>
      </c>
      <c r="E5" s="3" t="s">
        <v>38</v>
      </c>
      <c r="F5" s="7">
        <f>1.5*2.7*D5</f>
        <v>12.15</v>
      </c>
      <c r="G5" s="7"/>
      <c r="H5" s="7">
        <f t="shared" ref="H5:H14" si="0">F5*G5</f>
        <v>0</v>
      </c>
      <c r="I5" s="14" t="s">
        <v>39</v>
      </c>
    </row>
    <row r="6" ht="20" customHeight="1" spans="1:9">
      <c r="A6" s="8"/>
      <c r="B6" s="3" t="s">
        <v>142</v>
      </c>
      <c r="C6" s="3" t="s">
        <v>100</v>
      </c>
      <c r="D6" s="3">
        <v>1</v>
      </c>
      <c r="E6" s="3" t="s">
        <v>38</v>
      </c>
      <c r="F6" s="7">
        <f>3.2*3.9*D6</f>
        <v>12.48</v>
      </c>
      <c r="G6" s="7"/>
      <c r="H6" s="7">
        <f t="shared" si="0"/>
        <v>0</v>
      </c>
      <c r="I6" s="14" t="s">
        <v>39</v>
      </c>
    </row>
    <row r="7" ht="20" customHeight="1" spans="1:9">
      <c r="A7" s="3" t="s">
        <v>50</v>
      </c>
      <c r="B7" s="3" t="s">
        <v>51</v>
      </c>
      <c r="C7" s="3" t="s">
        <v>106</v>
      </c>
      <c r="D7" s="3">
        <v>10</v>
      </c>
      <c r="E7" s="3" t="s">
        <v>38</v>
      </c>
      <c r="F7" s="7">
        <f>3.2*3.6*D7</f>
        <v>115.2</v>
      </c>
      <c r="G7" s="7"/>
      <c r="H7" s="7">
        <f t="shared" si="0"/>
        <v>0</v>
      </c>
      <c r="I7" s="14" t="s">
        <v>115</v>
      </c>
    </row>
    <row r="8" ht="20" customHeight="1" spans="1:9">
      <c r="A8" s="3"/>
      <c r="B8" s="3" t="s">
        <v>54</v>
      </c>
      <c r="C8" s="3" t="s">
        <v>108</v>
      </c>
      <c r="D8" s="3">
        <v>48</v>
      </c>
      <c r="E8" s="3" t="s">
        <v>38</v>
      </c>
      <c r="F8" s="7">
        <f>0.65*6.6*D8</f>
        <v>205.92</v>
      </c>
      <c r="G8" s="7"/>
      <c r="H8" s="7">
        <f t="shared" si="0"/>
        <v>0</v>
      </c>
      <c r="I8" s="14" t="s">
        <v>107</v>
      </c>
    </row>
    <row r="9" ht="20" customHeight="1" spans="1:9">
      <c r="A9" s="3"/>
      <c r="B9" s="3" t="s">
        <v>56</v>
      </c>
      <c r="C9" s="3" t="s">
        <v>143</v>
      </c>
      <c r="D9" s="3">
        <v>24</v>
      </c>
      <c r="E9" s="3" t="s">
        <v>38</v>
      </c>
      <c r="F9" s="7">
        <f>0.65*3.9*D9</f>
        <v>60.84</v>
      </c>
      <c r="G9" s="7"/>
      <c r="H9" s="7">
        <f t="shared" si="0"/>
        <v>0</v>
      </c>
      <c r="I9" s="14" t="s">
        <v>107</v>
      </c>
    </row>
    <row r="10" ht="20" customHeight="1" spans="1:9">
      <c r="A10" s="3"/>
      <c r="B10" s="3" t="s">
        <v>59</v>
      </c>
      <c r="C10" s="3" t="s">
        <v>108</v>
      </c>
      <c r="D10" s="3">
        <v>18</v>
      </c>
      <c r="E10" s="3" t="s">
        <v>38</v>
      </c>
      <c r="F10" s="7">
        <f>0.65*6.6*D10</f>
        <v>77.22</v>
      </c>
      <c r="G10" s="7"/>
      <c r="H10" s="7">
        <f t="shared" si="0"/>
        <v>0</v>
      </c>
      <c r="I10" s="14" t="s">
        <v>107</v>
      </c>
    </row>
    <row r="11" ht="20" customHeight="1" spans="1:9">
      <c r="A11" s="3"/>
      <c r="B11" s="3" t="s">
        <v>63</v>
      </c>
      <c r="C11" s="3" t="s">
        <v>113</v>
      </c>
      <c r="D11" s="3">
        <v>76</v>
      </c>
      <c r="E11" s="3" t="s">
        <v>38</v>
      </c>
      <c r="F11" s="7">
        <f>0.65*1.3*D11</f>
        <v>64.22</v>
      </c>
      <c r="G11" s="7"/>
      <c r="H11" s="7">
        <f t="shared" si="0"/>
        <v>0</v>
      </c>
      <c r="I11" s="14" t="s">
        <v>107</v>
      </c>
    </row>
    <row r="12" ht="20" customHeight="1" spans="1:9">
      <c r="A12" s="3"/>
      <c r="B12" s="3" t="s">
        <v>67</v>
      </c>
      <c r="C12" s="3" t="s">
        <v>144</v>
      </c>
      <c r="D12" s="3">
        <v>1</v>
      </c>
      <c r="E12" s="3" t="s">
        <v>38</v>
      </c>
      <c r="F12" s="7">
        <f>1.8*1.8*D12</f>
        <v>3.24</v>
      </c>
      <c r="G12" s="7"/>
      <c r="H12" s="7">
        <f t="shared" si="0"/>
        <v>0</v>
      </c>
      <c r="I12" s="14" t="s">
        <v>145</v>
      </c>
    </row>
    <row r="13" ht="20" customHeight="1" spans="1:9">
      <c r="A13" s="3"/>
      <c r="B13" s="3" t="s">
        <v>146</v>
      </c>
      <c r="C13" s="3" t="s">
        <v>106</v>
      </c>
      <c r="D13" s="3">
        <v>1</v>
      </c>
      <c r="E13" s="3" t="s">
        <v>38</v>
      </c>
      <c r="F13" s="7">
        <f>3.2*3.6*D13</f>
        <v>11.52</v>
      </c>
      <c r="G13" s="7"/>
      <c r="H13" s="7">
        <f t="shared" si="0"/>
        <v>0</v>
      </c>
      <c r="I13" s="14" t="s">
        <v>107</v>
      </c>
    </row>
    <row r="14" ht="20" customHeight="1" spans="1:9">
      <c r="A14" s="3" t="s">
        <v>90</v>
      </c>
      <c r="B14" s="3" t="s">
        <v>117</v>
      </c>
      <c r="C14" s="3" t="s">
        <v>147</v>
      </c>
      <c r="D14" s="3">
        <v>2</v>
      </c>
      <c r="E14" s="3" t="s">
        <v>93</v>
      </c>
      <c r="F14" s="7">
        <f>1.2*2.1*D14</f>
        <v>5.04</v>
      </c>
      <c r="G14" s="7"/>
      <c r="H14" s="7">
        <f t="shared" si="0"/>
        <v>0</v>
      </c>
      <c r="I14" s="10" t="s">
        <v>93</v>
      </c>
    </row>
    <row r="15" ht="30" customHeight="1" spans="1:9">
      <c r="A15" s="3" t="s">
        <v>118</v>
      </c>
      <c r="B15" s="3"/>
      <c r="C15" s="3"/>
      <c r="D15" s="3"/>
      <c r="E15" s="9"/>
      <c r="F15" s="7"/>
      <c r="G15" s="11"/>
      <c r="H15" s="7">
        <f>SUM(H4:H14)</f>
        <v>0</v>
      </c>
      <c r="I15" s="9"/>
    </row>
    <row r="16" ht="20" customHeight="1" spans="1:9">
      <c r="A16" s="12" t="s">
        <v>97</v>
      </c>
      <c r="B16" s="12"/>
      <c r="C16" s="12"/>
      <c r="D16" s="12"/>
      <c r="E16" s="12"/>
      <c r="F16" s="13"/>
      <c r="G16" s="12"/>
      <c r="H16" s="12"/>
      <c r="I16" s="12"/>
    </row>
  </sheetData>
  <mergeCells count="13">
    <mergeCell ref="A1:I1"/>
    <mergeCell ref="A15:D15"/>
    <mergeCell ref="A16:I16"/>
    <mergeCell ref="A2:A3"/>
    <mergeCell ref="A4:A6"/>
    <mergeCell ref="A7:A13"/>
    <mergeCell ref="B2:B3"/>
    <mergeCell ref="D2:D3"/>
    <mergeCell ref="E2:E3"/>
    <mergeCell ref="F2:F3"/>
    <mergeCell ref="G2:G3"/>
    <mergeCell ref="H2:H3"/>
    <mergeCell ref="I2:I3"/>
  </mergeCells>
  <pageMargins left="0.786805555555556" right="0.786805555555556" top="0.786805555555556" bottom="0.786805555555556" header="0.393055555555556" footer="0.393055555555556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D2" sqref="D2:D3"/>
    </sheetView>
  </sheetViews>
  <sheetFormatPr defaultColWidth="9" defaultRowHeight="13.5"/>
  <cols>
    <col min="1" max="1" width="7.05833333333333" style="1" customWidth="1"/>
    <col min="2" max="2" width="10.8666666666667" style="1" customWidth="1"/>
    <col min="3" max="3" width="12.1666666666667" style="1" customWidth="1"/>
    <col min="4" max="4" width="5.75833333333333" style="1" customWidth="1"/>
    <col min="5" max="5" width="11.95" style="1" customWidth="1"/>
    <col min="6" max="6" width="7.775" style="1" customWidth="1"/>
    <col min="7" max="7" width="13.2583333333333" style="1" customWidth="1"/>
    <col min="8" max="8" width="15.8666666666667" style="1" customWidth="1"/>
    <col min="9" max="9" width="42.925" style="1" customWidth="1"/>
  </cols>
  <sheetData>
    <row r="1" ht="31" customHeight="1" spans="1:9">
      <c r="A1" s="2" t="s">
        <v>148</v>
      </c>
      <c r="B1" s="2"/>
      <c r="C1" s="2"/>
      <c r="D1" s="2"/>
      <c r="E1" s="2"/>
      <c r="F1" s="2"/>
      <c r="G1" s="2"/>
      <c r="H1" s="2"/>
      <c r="I1" s="2"/>
    </row>
    <row r="2" ht="25" customHeight="1" spans="1:9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4" t="s">
        <v>30</v>
      </c>
      <c r="G2" s="3" t="s">
        <v>31</v>
      </c>
      <c r="H2" s="3" t="s">
        <v>32</v>
      </c>
      <c r="I2" s="3" t="s">
        <v>33</v>
      </c>
    </row>
    <row r="3" ht="25" customHeight="1" spans="1:9">
      <c r="A3" s="3"/>
      <c r="B3" s="3"/>
      <c r="C3" s="3" t="s">
        <v>34</v>
      </c>
      <c r="D3" s="3"/>
      <c r="E3" s="3"/>
      <c r="F3" s="5"/>
      <c r="G3" s="3"/>
      <c r="H3" s="3"/>
      <c r="I3" s="3"/>
    </row>
    <row r="4" ht="25" customHeight="1" spans="1:9">
      <c r="A4" s="8" t="s">
        <v>50</v>
      </c>
      <c r="B4" s="3" t="s">
        <v>51</v>
      </c>
      <c r="C4" s="3" t="s">
        <v>149</v>
      </c>
      <c r="D4" s="3">
        <v>2</v>
      </c>
      <c r="E4" s="3" t="s">
        <v>38</v>
      </c>
      <c r="F4" s="7">
        <f>0.6*1.5*D4</f>
        <v>1.8</v>
      </c>
      <c r="G4" s="7"/>
      <c r="H4" s="7">
        <f>F4*G4</f>
        <v>0</v>
      </c>
      <c r="I4" s="3" t="s">
        <v>150</v>
      </c>
    </row>
    <row r="5" ht="25" customHeight="1" spans="1:9">
      <c r="A5" s="8"/>
      <c r="B5" s="3" t="s">
        <v>54</v>
      </c>
      <c r="C5" s="3" t="s">
        <v>66</v>
      </c>
      <c r="D5" s="3">
        <v>1</v>
      </c>
      <c r="E5" s="3" t="s">
        <v>38</v>
      </c>
      <c r="F5" s="7">
        <f>1.2*1.5*D5</f>
        <v>1.8</v>
      </c>
      <c r="G5" s="7"/>
      <c r="H5" s="7">
        <f>F5*G5</f>
        <v>0</v>
      </c>
      <c r="I5" s="3"/>
    </row>
    <row r="6" ht="25" customHeight="1" spans="1:9">
      <c r="A6" s="8"/>
      <c r="B6" s="3" t="s">
        <v>56</v>
      </c>
      <c r="C6" s="3" t="s">
        <v>151</v>
      </c>
      <c r="D6" s="3">
        <v>1</v>
      </c>
      <c r="E6" s="3" t="s">
        <v>38</v>
      </c>
      <c r="F6" s="7">
        <f>4.8*1.5*D6</f>
        <v>7.2</v>
      </c>
      <c r="G6" s="7"/>
      <c r="H6" s="7">
        <f>F6*G6</f>
        <v>0</v>
      </c>
      <c r="I6" s="3"/>
    </row>
    <row r="7" ht="25" customHeight="1" spans="1:9">
      <c r="A7" s="8"/>
      <c r="B7" s="3" t="s">
        <v>59</v>
      </c>
      <c r="C7" s="3" t="s">
        <v>152</v>
      </c>
      <c r="D7" s="3">
        <v>2</v>
      </c>
      <c r="E7" s="3" t="s">
        <v>38</v>
      </c>
      <c r="F7" s="7">
        <f>2.4*1.5*D7</f>
        <v>7.2</v>
      </c>
      <c r="G7" s="7"/>
      <c r="H7" s="7">
        <f>F7*G7</f>
        <v>0</v>
      </c>
      <c r="I7" s="3"/>
    </row>
    <row r="8" ht="25" customHeight="1" spans="1:9">
      <c r="A8" s="3" t="s">
        <v>90</v>
      </c>
      <c r="B8" s="3" t="s">
        <v>117</v>
      </c>
      <c r="C8" s="3" t="s">
        <v>153</v>
      </c>
      <c r="D8" s="3">
        <v>1</v>
      </c>
      <c r="E8" s="3" t="s">
        <v>93</v>
      </c>
      <c r="F8" s="7">
        <f>0.8*1.8*D8</f>
        <v>1.44</v>
      </c>
      <c r="G8" s="7"/>
      <c r="H8" s="7">
        <f>F8*G8</f>
        <v>0</v>
      </c>
      <c r="I8" s="9"/>
    </row>
    <row r="9" ht="36" customHeight="1" spans="1:9">
      <c r="A9" s="3" t="s">
        <v>118</v>
      </c>
      <c r="B9" s="3"/>
      <c r="C9" s="3"/>
      <c r="D9" s="3"/>
      <c r="E9" s="9"/>
      <c r="F9" s="11"/>
      <c r="G9" s="11"/>
      <c r="H9" s="7">
        <f>SUM(H4:H8)</f>
        <v>0</v>
      </c>
      <c r="I9" s="9"/>
    </row>
  </sheetData>
  <mergeCells count="12">
    <mergeCell ref="A1:I1"/>
    <mergeCell ref="A9:D9"/>
    <mergeCell ref="A2:A3"/>
    <mergeCell ref="A4:A7"/>
    <mergeCell ref="B2:B3"/>
    <mergeCell ref="D2:D3"/>
    <mergeCell ref="E2:E3"/>
    <mergeCell ref="F2:F3"/>
    <mergeCell ref="G2:G3"/>
    <mergeCell ref="H2:H3"/>
    <mergeCell ref="I2:I3"/>
    <mergeCell ref="I4:I7"/>
  </mergeCells>
  <pageMargins left="0.786805555555556" right="0.786805555555556" top="0.786805555555556" bottom="0.786805555555556" header="0.393055555555556" footer="0.393055555555556"/>
  <pageSetup paperSize="9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topLeftCell="D1" workbookViewId="0">
      <selection activeCell="I25" sqref="I25"/>
    </sheetView>
  </sheetViews>
  <sheetFormatPr defaultColWidth="9" defaultRowHeight="13.5"/>
  <cols>
    <col min="1" max="1" width="7.05833333333333" style="1" customWidth="1"/>
    <col min="2" max="2" width="10.8666666666667" style="1" customWidth="1"/>
    <col min="3" max="3" width="12.1666666666667" style="1" customWidth="1"/>
    <col min="4" max="4" width="5.25" style="1" customWidth="1"/>
    <col min="5" max="5" width="11.95" style="1" customWidth="1"/>
    <col min="6" max="6" width="9.04166666666667" style="1" customWidth="1"/>
    <col min="7" max="7" width="13.2583333333333" style="1" customWidth="1"/>
    <col min="8" max="8" width="15.8666666666667" style="1" customWidth="1"/>
    <col min="9" max="9" width="42.925" style="1" customWidth="1"/>
  </cols>
  <sheetData>
    <row r="1" ht="31" customHeight="1" spans="1:9">
      <c r="A1" s="2" t="s">
        <v>154</v>
      </c>
      <c r="B1" s="2"/>
      <c r="C1" s="2"/>
      <c r="D1" s="2"/>
      <c r="E1" s="2"/>
      <c r="F1" s="2"/>
      <c r="G1" s="2"/>
      <c r="H1" s="2"/>
      <c r="I1" s="2"/>
    </row>
    <row r="2" ht="30" customHeight="1" spans="1:9">
      <c r="A2" s="3" t="s">
        <v>25</v>
      </c>
      <c r="B2" s="3" t="s">
        <v>26</v>
      </c>
      <c r="C2" s="3" t="s">
        <v>27</v>
      </c>
      <c r="D2" s="3" t="s">
        <v>28</v>
      </c>
      <c r="E2" s="3" t="s">
        <v>29</v>
      </c>
      <c r="F2" s="4" t="s">
        <v>30</v>
      </c>
      <c r="G2" s="3" t="s">
        <v>31</v>
      </c>
      <c r="H2" s="3" t="s">
        <v>32</v>
      </c>
      <c r="I2" s="3" t="s">
        <v>33</v>
      </c>
    </row>
    <row r="3" ht="30" customHeight="1" spans="1:9">
      <c r="A3" s="3"/>
      <c r="B3" s="3"/>
      <c r="C3" s="3" t="s">
        <v>34</v>
      </c>
      <c r="D3" s="3"/>
      <c r="E3" s="3"/>
      <c r="F3" s="5"/>
      <c r="G3" s="3"/>
      <c r="H3" s="3"/>
      <c r="I3" s="3"/>
    </row>
    <row r="4" ht="30" customHeight="1" spans="1:9">
      <c r="A4" s="6"/>
      <c r="B4" s="3" t="s">
        <v>155</v>
      </c>
      <c r="C4" s="3" t="s">
        <v>156</v>
      </c>
      <c r="D4" s="3">
        <v>2</v>
      </c>
      <c r="E4" s="3" t="s">
        <v>38</v>
      </c>
      <c r="F4" s="7">
        <f>0.9*2.1*D4</f>
        <v>3.78</v>
      </c>
      <c r="G4" s="7"/>
      <c r="H4" s="7">
        <f>F4*G4</f>
        <v>0</v>
      </c>
      <c r="I4" s="3" t="s">
        <v>157</v>
      </c>
    </row>
    <row r="5" ht="30" customHeight="1" spans="1:9">
      <c r="A5" s="8" t="s">
        <v>50</v>
      </c>
      <c r="B5" s="3" t="s">
        <v>51</v>
      </c>
      <c r="C5" s="3" t="s">
        <v>158</v>
      </c>
      <c r="D5" s="3">
        <v>47</v>
      </c>
      <c r="E5" s="3" t="s">
        <v>38</v>
      </c>
      <c r="F5" s="7">
        <f>1.5*1.8*D5</f>
        <v>126.9</v>
      </c>
      <c r="G5" s="7"/>
      <c r="H5" s="7">
        <f>F5*G5</f>
        <v>0</v>
      </c>
      <c r="I5" s="3" t="s">
        <v>159</v>
      </c>
    </row>
    <row r="6" ht="30" customHeight="1" spans="1:9">
      <c r="A6" s="8"/>
      <c r="B6" s="3" t="s">
        <v>54</v>
      </c>
      <c r="C6" s="3" t="s">
        <v>160</v>
      </c>
      <c r="D6" s="3">
        <v>6</v>
      </c>
      <c r="E6" s="3" t="s">
        <v>38</v>
      </c>
      <c r="F6" s="7">
        <f>1*1.8*D6</f>
        <v>10.8</v>
      </c>
      <c r="G6" s="7"/>
      <c r="H6" s="7">
        <f>F6*G6</f>
        <v>0</v>
      </c>
      <c r="I6" s="3" t="s">
        <v>159</v>
      </c>
    </row>
    <row r="7" ht="30" customHeight="1" spans="1:9">
      <c r="A7" s="3" t="s">
        <v>84</v>
      </c>
      <c r="B7" s="3" t="s">
        <v>85</v>
      </c>
      <c r="C7" s="3" t="s">
        <v>133</v>
      </c>
      <c r="D7" s="3">
        <v>2</v>
      </c>
      <c r="E7" s="3" t="s">
        <v>38</v>
      </c>
      <c r="F7" s="7">
        <f>1.2*1*D7</f>
        <v>2.4</v>
      </c>
      <c r="G7" s="7"/>
      <c r="H7" s="7">
        <f>F7*G7</f>
        <v>0</v>
      </c>
      <c r="I7" s="3" t="s">
        <v>134</v>
      </c>
    </row>
    <row r="8" ht="30" customHeight="1" spans="1:9">
      <c r="A8" s="3" t="s">
        <v>137</v>
      </c>
      <c r="B8" s="3" t="s">
        <v>117</v>
      </c>
      <c r="C8" s="3" t="s">
        <v>161</v>
      </c>
      <c r="D8" s="3">
        <v>44</v>
      </c>
      <c r="E8" s="3"/>
      <c r="F8" s="7">
        <f>1.2*2.4*D8</f>
        <v>126.72</v>
      </c>
      <c r="G8" s="7"/>
      <c r="H8" s="7">
        <f>F8*G8</f>
        <v>0</v>
      </c>
      <c r="I8" s="10"/>
    </row>
    <row r="9" ht="30" customHeight="1" spans="1:9">
      <c r="A9" s="3" t="s">
        <v>118</v>
      </c>
      <c r="B9" s="3"/>
      <c r="C9" s="3"/>
      <c r="D9" s="3"/>
      <c r="E9" s="9"/>
      <c r="F9" s="7"/>
      <c r="G9" s="7"/>
      <c r="H9" s="7">
        <f>SUM(H4:H8)</f>
        <v>0</v>
      </c>
      <c r="I9" s="9"/>
    </row>
  </sheetData>
  <mergeCells count="11">
    <mergeCell ref="A1:I1"/>
    <mergeCell ref="A9:D9"/>
    <mergeCell ref="A2:A3"/>
    <mergeCell ref="A5:A6"/>
    <mergeCell ref="B2:B3"/>
    <mergeCell ref="D2:D3"/>
    <mergeCell ref="E2:E3"/>
    <mergeCell ref="F2:F3"/>
    <mergeCell ref="G2:G3"/>
    <mergeCell ref="H2:H3"/>
    <mergeCell ref="I2:I3"/>
  </mergeCells>
  <pageMargins left="0.786805555555556" right="0.786805555555556" top="0.786805555555556" bottom="0.786805555555556" header="0.393055555555556" footer="0.39305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汇总表</vt:lpstr>
      <vt:lpstr>报告厅及食堂</vt:lpstr>
      <vt:lpstr>多功能馆</vt:lpstr>
      <vt:lpstr>教学综合楼</vt:lpstr>
      <vt:lpstr>体育馆</vt:lpstr>
      <vt:lpstr>校门</vt:lpstr>
      <vt:lpstr>宿舍楼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Yuan..</cp:lastModifiedBy>
  <dcterms:created xsi:type="dcterms:W3CDTF">2024-12-02T07:57:00Z</dcterms:created>
  <dcterms:modified xsi:type="dcterms:W3CDTF">2024-12-03T00:23:10Z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A8DA6625393A47469A94591039B34923_11</vt:lpwstr>
  </property>
  <property fmtid="{D5CDD505-2E9C-101B-9397-08002B2CF9AE}" pid="3" name="KSOProductBuildVer">
    <vt:lpwstr>2052-12.1.0.18912</vt:lpwstr>
  </property>
</Properties>
</file>